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Итоговый" sheetId="6" r:id="rId1"/>
  </sheets>
  <calcPr calcId="125725"/>
</workbook>
</file>

<file path=xl/calcChain.xml><?xml version="1.0" encoding="utf-8"?>
<calcChain xmlns="http://schemas.openxmlformats.org/spreadsheetml/2006/main">
  <c r="K27" i="6"/>
  <c r="K26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8"/>
  <c r="K29"/>
  <c r="K7"/>
  <c r="K6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0"/>
  <c r="I9"/>
  <c r="I8"/>
  <c r="I7"/>
  <c r="I6"/>
  <c r="H20"/>
  <c r="H16"/>
  <c r="F20"/>
  <c r="M20" s="1"/>
  <c r="F16"/>
  <c r="M16" s="1"/>
  <c r="H29"/>
  <c r="H28"/>
  <c r="H27"/>
  <c r="H26"/>
  <c r="H25"/>
  <c r="H24"/>
  <c r="H23"/>
  <c r="H22"/>
  <c r="H21"/>
  <c r="H19"/>
  <c r="H18"/>
  <c r="H17"/>
  <c r="H15"/>
  <c r="H14"/>
  <c r="H13"/>
  <c r="H12"/>
  <c r="H11"/>
  <c r="H10"/>
  <c r="H9"/>
  <c r="H8"/>
  <c r="H7"/>
  <c r="H6"/>
  <c r="F29"/>
  <c r="M29" s="1"/>
  <c r="F28"/>
  <c r="M28" s="1"/>
  <c r="F27"/>
  <c r="M27" s="1"/>
  <c r="F26"/>
  <c r="M26" s="1"/>
  <c r="F25"/>
  <c r="M25" s="1"/>
  <c r="F24"/>
  <c r="M24" s="1"/>
  <c r="F23"/>
  <c r="M23" s="1"/>
  <c r="F22"/>
  <c r="M22" s="1"/>
  <c r="F21"/>
  <c r="M21" s="1"/>
  <c r="F19"/>
  <c r="M19" s="1"/>
  <c r="F18"/>
  <c r="M18" s="1"/>
  <c r="F17"/>
  <c r="M17" s="1"/>
  <c r="F15"/>
  <c r="M15" s="1"/>
  <c r="F14"/>
  <c r="M14" s="1"/>
  <c r="F13"/>
  <c r="M13" s="1"/>
  <c r="F12"/>
  <c r="M12" s="1"/>
  <c r="F11"/>
  <c r="M11" s="1"/>
  <c r="F10"/>
  <c r="M10" s="1"/>
  <c r="F9"/>
  <c r="M9" s="1"/>
  <c r="F8"/>
  <c r="M8" s="1"/>
  <c r="F7"/>
  <c r="M7" s="1"/>
  <c r="F6"/>
  <c r="M6" s="1"/>
  <c r="E29"/>
  <c r="L29" s="1"/>
  <c r="E28"/>
  <c r="E27"/>
  <c r="L27" s="1"/>
  <c r="E26"/>
  <c r="L26" s="1"/>
  <c r="E25"/>
  <c r="L25" s="1"/>
  <c r="E24"/>
  <c r="E23"/>
  <c r="L23" s="1"/>
  <c r="E22"/>
  <c r="E21"/>
  <c r="E20"/>
  <c r="L20" s="1"/>
  <c r="E19"/>
  <c r="L19" s="1"/>
  <c r="E18"/>
  <c r="L18" s="1"/>
  <c r="E17"/>
  <c r="L17" s="1"/>
  <c r="E16"/>
  <c r="L16" s="1"/>
  <c r="E15"/>
  <c r="L15" s="1"/>
  <c r="E14"/>
  <c r="L14" s="1"/>
  <c r="E13"/>
  <c r="L13" s="1"/>
  <c r="E12"/>
  <c r="L12" s="1"/>
  <c r="E11"/>
  <c r="L11" s="1"/>
  <c r="E10"/>
  <c r="L10" s="1"/>
  <c r="E9"/>
  <c r="L9" s="1"/>
  <c r="E8"/>
  <c r="L8" s="1"/>
  <c r="E7"/>
  <c r="L7" s="1"/>
  <c r="E6"/>
  <c r="I11"/>
  <c r="L6" l="1"/>
  <c r="L24"/>
  <c r="L22"/>
  <c r="L28"/>
  <c r="L21"/>
</calcChain>
</file>

<file path=xl/sharedStrings.xml><?xml version="1.0" encoding="utf-8"?>
<sst xmlns="http://schemas.openxmlformats.org/spreadsheetml/2006/main" count="40" uniqueCount="22">
  <si>
    <t>Подрядчики</t>
  </si>
  <si>
    <t>66А</t>
  </si>
  <si>
    <t>60А</t>
  </si>
  <si>
    <t>Кол-во л/с</t>
  </si>
  <si>
    <t>Офис</t>
  </si>
  <si>
    <t>Материалы,
 оборудование</t>
  </si>
  <si>
    <t>Начислено за 2016 год</t>
  </si>
  <si>
    <t>УЛ. АРТИЛЛЕРИЙСКАЯ</t>
  </si>
  <si>
    <t>УЛ. КУДРЯВЦЕВА</t>
  </si>
  <si>
    <t>ПР. ПОБЕДЫ</t>
  </si>
  <si>
    <t>УЛ. ТУРБИННАЯ</t>
  </si>
  <si>
    <t>Улица</t>
  </si>
  <si>
    <t>Дом №</t>
  </si>
  <si>
    <t>УЛ. МОЛОДОГВАРДЕЙЦЕВ</t>
  </si>
  <si>
    <t>УЛ. СОЛНЕЧНАЯ</t>
  </si>
  <si>
    <t>24А</t>
  </si>
  <si>
    <t>Итоговый расчет по формуле: 
НАЧИСЛЕНО-(ОФИС+ПОДРЯДЧИКИ+МАТЕРИАЛЫ, ОБОРУДОВАНИЕ+З/П)</t>
  </si>
  <si>
    <t>Итоговый расчет по формуле: 
ОПЛАТИЛИ-(ОФИС+ПОДРЯДЧИКИ+МАТЕРИАЛЫ, ОБОРУДОВАНИЕ+З/П)</t>
  </si>
  <si>
    <t>Долг на 01.09 (08). 2012</t>
  </si>
  <si>
    <t>Долг на 01.01.2013</t>
  </si>
  <si>
    <t>З/п+налоги, 
клининг</t>
  </si>
  <si>
    <t>Оплатили за 09(08).2012 год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</si>
</sst>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3" fillId="0" borderId="0" xfId="0" applyFont="1"/>
    <xf numFmtId="0" fontId="1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4:M65"/>
  <sheetViews>
    <sheetView tabSelected="1" topLeftCell="A4" zoomScale="80" zoomScaleNormal="80" workbookViewId="0">
      <selection activeCell="F14" sqref="F14"/>
    </sheetView>
  </sheetViews>
  <sheetFormatPr defaultRowHeight="15"/>
  <cols>
    <col min="1" max="1" width="22.85546875" style="2" bestFit="1" customWidth="1"/>
    <col min="2" max="2" width="6.7109375" style="2" bestFit="1" customWidth="1"/>
    <col min="3" max="3" width="11.140625" bestFit="1" customWidth="1"/>
    <col min="4" max="4" width="19.7109375" bestFit="1" customWidth="1"/>
    <col min="5" max="5" width="23.7109375" bestFit="1" customWidth="1"/>
    <col min="6" max="6" width="22.5703125" bestFit="1" customWidth="1"/>
    <col min="7" max="7" width="15" bestFit="1" customWidth="1"/>
    <col min="8" max="8" width="7.85546875" bestFit="1" customWidth="1"/>
    <col min="9" max="9" width="10" bestFit="1" customWidth="1"/>
    <col min="10" max="10" width="11.7109375" bestFit="1" customWidth="1"/>
    <col min="11" max="11" width="9.5703125" bestFit="1" customWidth="1"/>
    <col min="12" max="12" width="22.85546875" customWidth="1"/>
    <col min="13" max="13" width="23.42578125" bestFit="1" customWidth="1"/>
  </cols>
  <sheetData>
    <row r="4" spans="1:13" ht="39">
      <c r="A4" s="12" t="s">
        <v>11</v>
      </c>
      <c r="B4" s="7" t="s">
        <v>12</v>
      </c>
      <c r="C4" s="7" t="s">
        <v>3</v>
      </c>
      <c r="D4" s="7" t="s">
        <v>18</v>
      </c>
      <c r="E4" s="7" t="s">
        <v>6</v>
      </c>
      <c r="F4" s="7" t="s">
        <v>21</v>
      </c>
      <c r="G4" s="7" t="s">
        <v>19</v>
      </c>
      <c r="H4" s="7" t="s">
        <v>4</v>
      </c>
      <c r="I4" s="7" t="s">
        <v>0</v>
      </c>
      <c r="J4" s="6" t="s">
        <v>5</v>
      </c>
      <c r="K4" s="6" t="s">
        <v>20</v>
      </c>
      <c r="L4" s="10" t="s">
        <v>16</v>
      </c>
      <c r="M4" s="10" t="s">
        <v>17</v>
      </c>
    </row>
    <row r="5" spans="1:13">
      <c r="B5" s="8"/>
      <c r="C5" s="8"/>
      <c r="D5" s="8"/>
      <c r="E5" s="8"/>
      <c r="F5" s="9"/>
      <c r="G5" s="8"/>
      <c r="H5" s="8"/>
      <c r="I5" s="8"/>
      <c r="J5" s="8"/>
      <c r="K5" s="8"/>
      <c r="L5" s="8"/>
      <c r="M5" s="8"/>
    </row>
    <row r="6" spans="1:13">
      <c r="A6" s="1" t="s">
        <v>7</v>
      </c>
      <c r="B6" s="4">
        <v>21</v>
      </c>
      <c r="C6" s="4">
        <v>23</v>
      </c>
      <c r="D6" s="4">
        <v>0</v>
      </c>
      <c r="E6" s="13">
        <f>172843.25/12*4</f>
        <v>57614.416666666664</v>
      </c>
      <c r="F6" s="14">
        <f>135127.34/12*4</f>
        <v>45042.446666666663</v>
      </c>
      <c r="G6" s="5">
        <v>15630.46</v>
      </c>
      <c r="H6" s="9">
        <f>11053.8/12*4</f>
        <v>3684.6</v>
      </c>
      <c r="I6" s="11">
        <f>(5100+1207.5+115011.5+1357+3320)/12*4</f>
        <v>41998.666666666664</v>
      </c>
      <c r="J6" s="11">
        <f>(9250+1830+117.3+6929.9+257.6)/12*4</f>
        <v>6128.2666666666655</v>
      </c>
      <c r="K6" s="11">
        <f>C6*723.5</f>
        <v>16640.5</v>
      </c>
      <c r="L6" s="11">
        <f>E6-(H6+I6+J6+K6)</f>
        <v>-10837.616666666661</v>
      </c>
      <c r="M6" s="11">
        <f>F6-(H6+I6+J6+K6)</f>
        <v>-23409.586666666662</v>
      </c>
    </row>
    <row r="7" spans="1:13">
      <c r="A7" s="1" t="s">
        <v>7</v>
      </c>
      <c r="B7" s="4">
        <v>23</v>
      </c>
      <c r="C7" s="4">
        <v>24</v>
      </c>
      <c r="D7" s="4">
        <v>0</v>
      </c>
      <c r="E7" s="13">
        <f>165236.26/12*4</f>
        <v>55078.753333333334</v>
      </c>
      <c r="F7" s="14">
        <f>124996.41/12*4</f>
        <v>41665.47</v>
      </c>
      <c r="G7" s="5">
        <v>13442.56</v>
      </c>
      <c r="H7" s="9">
        <f>11534.4/12*4</f>
        <v>3844.7999999999997</v>
      </c>
      <c r="I7" s="11">
        <f>(1260+120012+5472+1416)/12*4</f>
        <v>42720</v>
      </c>
      <c r="J7" s="11">
        <f>(396+6003.8+122.4+6929.9+96+268.8)/12*4</f>
        <v>4605.6333333333323</v>
      </c>
      <c r="K7" s="11">
        <f>C7*723.5</f>
        <v>17364</v>
      </c>
      <c r="L7" s="11">
        <f>E7-(H7+I7+J7+K7)</f>
        <v>-13455.68</v>
      </c>
      <c r="M7" s="11">
        <f>F7-(H7+I7+J7+K7)</f>
        <v>-26868.963333333333</v>
      </c>
    </row>
    <row r="8" spans="1:13">
      <c r="A8" s="1" t="s">
        <v>7</v>
      </c>
      <c r="B8" s="4">
        <v>26</v>
      </c>
      <c r="C8" s="4">
        <v>33</v>
      </c>
      <c r="D8" s="4">
        <v>0</v>
      </c>
      <c r="E8" s="13">
        <f xml:space="preserve"> 300093.07/12*4</f>
        <v>100031.02333333333</v>
      </c>
      <c r="F8" s="15">
        <f>295745.18/12*4</f>
        <v>98581.726666666669</v>
      </c>
      <c r="G8" s="5">
        <v>27276.17</v>
      </c>
      <c r="H8" s="9">
        <f>15859.8/12*4</f>
        <v>5286.5999999999995</v>
      </c>
      <c r="I8" s="11">
        <f>165016.5/12*4</f>
        <v>55005.5</v>
      </c>
      <c r="J8" s="11">
        <f>(168.3+1973.4+168.3+9942.9+369.6)/12*4</f>
        <v>4207.5</v>
      </c>
      <c r="K8" s="11">
        <f t="shared" ref="K8:K29" si="0">C8*723.5</f>
        <v>23875.5</v>
      </c>
      <c r="L8" s="11">
        <f t="shared" ref="L8:L29" si="1">E8-(H8+I8+J8+K8)</f>
        <v>11655.923333333325</v>
      </c>
      <c r="M8" s="11">
        <f t="shared" ref="M8:M29" si="2">F8-(H8+I8+J8+K8)</f>
        <v>10206.626666666663</v>
      </c>
    </row>
    <row r="9" spans="1:13">
      <c r="A9" s="1" t="s">
        <v>7</v>
      </c>
      <c r="B9" s="4">
        <v>64</v>
      </c>
      <c r="C9" s="4">
        <v>24</v>
      </c>
      <c r="D9" s="4">
        <v>0</v>
      </c>
      <c r="E9" s="13">
        <f>176849.6/12*4</f>
        <v>58949.866666666669</v>
      </c>
      <c r="F9" s="15">
        <f>138306.55/12*4</f>
        <v>46102.183333333327</v>
      </c>
      <c r="G9" s="5">
        <v>17812.689999999999</v>
      </c>
      <c r="H9" s="9">
        <f>11534.4/12*4</f>
        <v>3844.7999999999997</v>
      </c>
      <c r="I9" s="11">
        <f>(816+528+384+120012)/12*4</f>
        <v>40580</v>
      </c>
      <c r="J9" s="11">
        <f>(122.4+7231.2+268.8)/12*4</f>
        <v>2540.7999999999997</v>
      </c>
      <c r="K9" s="11">
        <f t="shared" si="0"/>
        <v>17364</v>
      </c>
      <c r="L9" s="11">
        <f t="shared" si="1"/>
        <v>-5379.7333333333372</v>
      </c>
      <c r="M9" s="11">
        <f t="shared" si="2"/>
        <v>-18227.416666666679</v>
      </c>
    </row>
    <row r="10" spans="1:13">
      <c r="A10" s="1" t="s">
        <v>7</v>
      </c>
      <c r="B10" s="4">
        <v>66</v>
      </c>
      <c r="C10" s="4">
        <v>80</v>
      </c>
      <c r="D10" s="4">
        <v>0</v>
      </c>
      <c r="E10" s="13">
        <f>575946.87/12*4</f>
        <v>191982.29</v>
      </c>
      <c r="F10" s="15">
        <f>493655.04/12*4</f>
        <v>164551.67999999999</v>
      </c>
      <c r="G10" s="5">
        <v>65757.14</v>
      </c>
      <c r="H10" s="9">
        <f>38448/12*4</f>
        <v>12816</v>
      </c>
      <c r="I10" s="11">
        <f>(7200+4416.86+2720+1280+400040+3200)/12*4</f>
        <v>139618.95333333334</v>
      </c>
      <c r="J10" s="11">
        <f>(5318.41+408+24104+896)/12*4</f>
        <v>10242.136666666667</v>
      </c>
      <c r="K10" s="11">
        <f t="shared" si="0"/>
        <v>57880</v>
      </c>
      <c r="L10" s="11">
        <f t="shared" si="1"/>
        <v>-28574.799999999988</v>
      </c>
      <c r="M10" s="11">
        <f t="shared" si="2"/>
        <v>-56005.41</v>
      </c>
    </row>
    <row r="11" spans="1:13">
      <c r="A11" s="1" t="s">
        <v>7</v>
      </c>
      <c r="B11" s="4" t="s">
        <v>1</v>
      </c>
      <c r="C11" s="4">
        <v>33</v>
      </c>
      <c r="D11" s="4">
        <v>0</v>
      </c>
      <c r="E11" s="13">
        <f>234701.38/12*4</f>
        <v>78233.793333333335</v>
      </c>
      <c r="F11" s="16">
        <f>216838.48/12*4</f>
        <v>72279.493333333332</v>
      </c>
      <c r="G11" s="4">
        <v>16739.43</v>
      </c>
      <c r="H11" s="9">
        <f>15859.8/12*4</f>
        <v>5286.5999999999995</v>
      </c>
      <c r="I11" s="11">
        <f>165016.5</f>
        <v>165016.5</v>
      </c>
      <c r="J11" s="11">
        <f>(3977+1019.4+168.3+9942.9+369.6)/12*4</f>
        <v>5159.0666666666666</v>
      </c>
      <c r="K11" s="11">
        <f t="shared" si="0"/>
        <v>23875.5</v>
      </c>
      <c r="L11" s="11">
        <f t="shared" si="1"/>
        <v>-121103.87333333335</v>
      </c>
      <c r="M11" s="11">
        <f t="shared" si="2"/>
        <v>-127058.17333333335</v>
      </c>
    </row>
    <row r="12" spans="1:13">
      <c r="A12" s="1" t="s">
        <v>8</v>
      </c>
      <c r="B12" s="4">
        <v>4</v>
      </c>
      <c r="C12" s="4">
        <v>58</v>
      </c>
      <c r="D12" s="4">
        <v>0</v>
      </c>
      <c r="E12" s="13">
        <f>450500.67/12*4</f>
        <v>150166.88999999998</v>
      </c>
      <c r="F12" s="15">
        <f>424251.63/12*4</f>
        <v>141417.21</v>
      </c>
      <c r="G12" s="4">
        <v>57815.6</v>
      </c>
      <c r="H12" s="9">
        <f>27874.8/12*4</f>
        <v>9291.6</v>
      </c>
      <c r="I12" s="11">
        <f>(2125+105000+290029)/12*4</f>
        <v>132384.66666666666</v>
      </c>
      <c r="J12" s="11">
        <f>(2969+1450+10522.3+1334+2494+17475.4+1700+1914+649.6)/12*4</f>
        <v>13502.766666666665</v>
      </c>
      <c r="K12" s="11">
        <f t="shared" si="0"/>
        <v>41963</v>
      </c>
      <c r="L12" s="11">
        <f t="shared" si="1"/>
        <v>-46975.143333333341</v>
      </c>
      <c r="M12" s="11">
        <f t="shared" si="2"/>
        <v>-55724.823333333334</v>
      </c>
    </row>
    <row r="13" spans="1:13">
      <c r="A13" s="1" t="s">
        <v>9</v>
      </c>
      <c r="B13" s="4">
        <v>126</v>
      </c>
      <c r="C13" s="4">
        <v>25</v>
      </c>
      <c r="D13" s="4">
        <v>0</v>
      </c>
      <c r="E13" s="13">
        <f>217578.14/12*4</f>
        <v>72526.046666666676</v>
      </c>
      <c r="F13" s="15">
        <f>195399.18/12*4</f>
        <v>65133.06</v>
      </c>
      <c r="G13" s="5">
        <v>21641.07</v>
      </c>
      <c r="H13" s="9">
        <f>12015/12*4</f>
        <v>4005</v>
      </c>
      <c r="I13" s="11">
        <f>(632.5+21200+1450+1000+125012.5+1475)/12*4</f>
        <v>50256.666666666664</v>
      </c>
      <c r="J13" s="11">
        <f>(625+1146.87+575+7532.5+79.6+280)/12*4</f>
        <v>3412.99</v>
      </c>
      <c r="K13" s="11">
        <f t="shared" si="0"/>
        <v>18087.5</v>
      </c>
      <c r="L13" s="11">
        <f t="shared" si="1"/>
        <v>-3236.109999999986</v>
      </c>
      <c r="M13" s="11">
        <f t="shared" si="2"/>
        <v>-10629.096666666665</v>
      </c>
    </row>
    <row r="14" spans="1:13">
      <c r="A14" s="1" t="s">
        <v>9</v>
      </c>
      <c r="B14" s="4">
        <v>128</v>
      </c>
      <c r="C14" s="4">
        <v>37</v>
      </c>
      <c r="D14" s="4">
        <v>0</v>
      </c>
      <c r="E14" s="13">
        <f>336226.64/12*4</f>
        <v>112075.54666666668</v>
      </c>
      <c r="F14" s="15">
        <f>280247.28/12*4</f>
        <v>93415.760000000009</v>
      </c>
      <c r="G14" s="5">
        <v>34552.49</v>
      </c>
      <c r="H14" s="9">
        <f>17782.2/12*4</f>
        <v>5927.4000000000005</v>
      </c>
      <c r="I14" s="11">
        <f>(936.1+2146+592+185018.5+2183)/12*4</f>
        <v>63625.200000000004</v>
      </c>
      <c r="J14" s="11">
        <f>(925+17.22+11148.1+414.4)/12*4</f>
        <v>4168.24</v>
      </c>
      <c r="K14" s="11">
        <f t="shared" si="0"/>
        <v>26769.5</v>
      </c>
      <c r="L14" s="11">
        <f t="shared" si="1"/>
        <v>11585.206666666665</v>
      </c>
      <c r="M14" s="11">
        <f t="shared" si="2"/>
        <v>-7074.5800000000017</v>
      </c>
    </row>
    <row r="15" spans="1:13">
      <c r="A15" s="1" t="s">
        <v>9</v>
      </c>
      <c r="B15" s="4">
        <v>129</v>
      </c>
      <c r="C15" s="4">
        <v>26</v>
      </c>
      <c r="D15" s="4">
        <v>0</v>
      </c>
      <c r="E15" s="13">
        <f>254778.69/12*4</f>
        <v>84926.23</v>
      </c>
      <c r="F15" s="15">
        <f>205941.3/12*4</f>
        <v>68647.099999999991</v>
      </c>
      <c r="G15" s="5">
        <v>8629.27</v>
      </c>
      <c r="H15" s="9">
        <f>12495.6/12*4</f>
        <v>4165.2</v>
      </c>
      <c r="I15" s="11">
        <f>(657.8+1586+572+130013)/12*4</f>
        <v>44276.266666666663</v>
      </c>
      <c r="J15" s="11">
        <f>(650+7833.8+291.2)/12*4</f>
        <v>2925</v>
      </c>
      <c r="K15" s="11">
        <f t="shared" si="0"/>
        <v>18811</v>
      </c>
      <c r="L15" s="11">
        <f t="shared" si="1"/>
        <v>14748.763333333336</v>
      </c>
      <c r="M15" s="11">
        <f t="shared" si="2"/>
        <v>-1530.3666666666686</v>
      </c>
    </row>
    <row r="16" spans="1:13">
      <c r="A16" s="1" t="s">
        <v>9</v>
      </c>
      <c r="B16" s="4">
        <v>130</v>
      </c>
      <c r="C16" s="4">
        <v>34</v>
      </c>
      <c r="D16" s="4">
        <v>0</v>
      </c>
      <c r="E16" s="13">
        <f>352214.98/12*5</f>
        <v>146756.24166666667</v>
      </c>
      <c r="F16" s="15">
        <f>298137.5/12*5</f>
        <v>124223.95833333334</v>
      </c>
      <c r="G16" s="5">
        <v>21310.44</v>
      </c>
      <c r="H16" s="9">
        <f>16340.4/12*5</f>
        <v>6808.5</v>
      </c>
      <c r="I16" s="11">
        <f>(860.2+1972+1785+544+170017)/12*5</f>
        <v>72990.916666666672</v>
      </c>
      <c r="J16" s="11">
        <f>(925+1413.84+10244.2+380.8)/12*4</f>
        <v>4321.28</v>
      </c>
      <c r="K16" s="11">
        <f t="shared" si="0"/>
        <v>24599</v>
      </c>
      <c r="L16" s="11">
        <f t="shared" si="1"/>
        <v>38036.544999999998</v>
      </c>
      <c r="M16" s="11">
        <f t="shared" si="2"/>
        <v>15504.261666666673</v>
      </c>
    </row>
    <row r="17" spans="1:13">
      <c r="A17" s="1" t="s">
        <v>9</v>
      </c>
      <c r="B17" s="4">
        <v>133</v>
      </c>
      <c r="C17" s="4">
        <v>33</v>
      </c>
      <c r="D17" s="4">
        <v>0</v>
      </c>
      <c r="E17" s="13">
        <f>365161.09/12*4</f>
        <v>121720.36333333334</v>
      </c>
      <c r="F17" s="15">
        <f>312697.52/12*4</f>
        <v>104232.50666666667</v>
      </c>
      <c r="G17" s="5">
        <v>48579.839999999997</v>
      </c>
      <c r="H17" s="9">
        <f>15859.8/12*4</f>
        <v>5286.5999999999995</v>
      </c>
      <c r="I17" s="11">
        <f>(834.9+2013+726+165016.5+2650+1554.3)/12*4</f>
        <v>57598.23333333333</v>
      </c>
      <c r="J17" s="11">
        <f>(825+2169+1019.4+9942.9+3201+369.6)/12*4</f>
        <v>5842.2999999999993</v>
      </c>
      <c r="K17" s="11">
        <f t="shared" si="0"/>
        <v>23875.5</v>
      </c>
      <c r="L17" s="11">
        <f t="shared" si="1"/>
        <v>29117.73000000001</v>
      </c>
      <c r="M17" s="11">
        <f t="shared" si="2"/>
        <v>11629.873333333337</v>
      </c>
    </row>
    <row r="18" spans="1:13">
      <c r="A18" s="1" t="s">
        <v>9</v>
      </c>
      <c r="B18" s="4">
        <v>134</v>
      </c>
      <c r="C18" s="4">
        <v>9</v>
      </c>
      <c r="D18" s="4">
        <v>0</v>
      </c>
      <c r="E18" s="14">
        <f>67419.39/12*4</f>
        <v>22473.13</v>
      </c>
      <c r="F18" s="15">
        <f>51578.07/12*4</f>
        <v>17192.689999999999</v>
      </c>
      <c r="G18" s="5">
        <v>4255.3900000000003</v>
      </c>
      <c r="H18" s="9">
        <f>4325.4/12*4</f>
        <v>1441.8</v>
      </c>
      <c r="I18" s="11">
        <f>(227.7+198+522+360+45004.5+12521.45)/12*4</f>
        <v>19611.216666666664</v>
      </c>
      <c r="J18" s="11">
        <f>(225+1116+415.8+2711.7+100.8)/12*4</f>
        <v>1523.1000000000001</v>
      </c>
      <c r="K18" s="11">
        <f t="shared" si="0"/>
        <v>6511.5</v>
      </c>
      <c r="L18" s="11">
        <f t="shared" si="1"/>
        <v>-6614.4866666666603</v>
      </c>
      <c r="M18" s="11">
        <f t="shared" si="2"/>
        <v>-11894.926666666663</v>
      </c>
    </row>
    <row r="19" spans="1:13">
      <c r="A19" s="1" t="s">
        <v>9</v>
      </c>
      <c r="B19" s="4">
        <v>138</v>
      </c>
      <c r="C19" s="4">
        <v>8</v>
      </c>
      <c r="D19" s="4">
        <v>0</v>
      </c>
      <c r="E19" s="13">
        <f>68717.31/12*4</f>
        <v>22905.77</v>
      </c>
      <c r="F19" s="15">
        <f>55223.64/12*4</f>
        <v>18407.88</v>
      </c>
      <c r="G19" s="5">
        <v>9784.7900000000009</v>
      </c>
      <c r="H19" s="9">
        <f>3844.8/12*4</f>
        <v>1281.6000000000001</v>
      </c>
      <c r="I19" s="11">
        <f>(202.4+648+464+320+40004)/12*4</f>
        <v>13879.466666666667</v>
      </c>
      <c r="J19" s="11">
        <f>(200+2410.4+89.6)/12*4</f>
        <v>900</v>
      </c>
      <c r="K19" s="11">
        <f t="shared" si="0"/>
        <v>5788</v>
      </c>
      <c r="L19" s="11">
        <f t="shared" si="1"/>
        <v>1056.7033333333347</v>
      </c>
      <c r="M19" s="11">
        <f t="shared" si="2"/>
        <v>-3441.1866666666647</v>
      </c>
    </row>
    <row r="20" spans="1:13">
      <c r="A20" s="1" t="s">
        <v>9</v>
      </c>
      <c r="B20" s="4">
        <v>142</v>
      </c>
      <c r="C20" s="4">
        <v>34</v>
      </c>
      <c r="D20" s="4">
        <v>0</v>
      </c>
      <c r="E20" s="13">
        <f>294041.94/12*4</f>
        <v>98013.98</v>
      </c>
      <c r="F20" s="15">
        <f>262805.64/12*5</f>
        <v>109502.35</v>
      </c>
      <c r="G20" s="5">
        <v>27207.43</v>
      </c>
      <c r="H20" s="9">
        <f>16340.4/12*5</f>
        <v>6808.5</v>
      </c>
      <c r="I20" s="11">
        <f>(860.2+2754+1876.8+170017)/12*5</f>
        <v>73128.333333333328</v>
      </c>
      <c r="J20" s="11">
        <f>(850+3851+173.4+7786+10244.2+4875+3298+380.8)/12*4</f>
        <v>10486.133333333333</v>
      </c>
      <c r="K20" s="11">
        <f t="shared" si="0"/>
        <v>24599</v>
      </c>
      <c r="L20" s="11">
        <f t="shared" si="1"/>
        <v>-17007.986666666664</v>
      </c>
      <c r="M20" s="11">
        <f t="shared" si="2"/>
        <v>-5519.6166666666541</v>
      </c>
    </row>
    <row r="21" spans="1:13">
      <c r="A21" s="1" t="s">
        <v>9</v>
      </c>
      <c r="B21" s="4">
        <v>144</v>
      </c>
      <c r="C21" s="4">
        <v>63</v>
      </c>
      <c r="D21" s="4">
        <v>0</v>
      </c>
      <c r="E21" s="13">
        <f>586423.31/12*4</f>
        <v>195474.43666666668</v>
      </c>
      <c r="F21" s="15">
        <f>506417.98/12*4</f>
        <v>168805.99333333332</v>
      </c>
      <c r="G21" s="5">
        <v>79270.41</v>
      </c>
      <c r="H21" s="9">
        <f>30277.8/12*4</f>
        <v>10092.6</v>
      </c>
      <c r="I21" s="11">
        <f>(1593.9+315031.5+2967.3)/12*4</f>
        <v>106530.90000000001</v>
      </c>
      <c r="J21" s="11">
        <f>(1575+645+256+2597+14427+18981.9+6111+705.6)/12*4</f>
        <v>15099.5</v>
      </c>
      <c r="K21" s="11">
        <f t="shared" si="0"/>
        <v>45580.5</v>
      </c>
      <c r="L21" s="11">
        <f t="shared" si="1"/>
        <v>18170.936666666676</v>
      </c>
      <c r="M21" s="11">
        <f t="shared" si="2"/>
        <v>-8497.5066666666826</v>
      </c>
    </row>
    <row r="22" spans="1:13">
      <c r="A22" s="1" t="s">
        <v>10</v>
      </c>
      <c r="B22" s="4">
        <v>49</v>
      </c>
      <c r="C22" s="4">
        <v>22</v>
      </c>
      <c r="D22" s="4">
        <v>0</v>
      </c>
      <c r="E22" s="13">
        <f>159460.88/12*4</f>
        <v>53153.626666666671</v>
      </c>
      <c r="F22" s="16">
        <f>127686.77/12*4</f>
        <v>42562.256666666668</v>
      </c>
      <c r="G22" s="5"/>
      <c r="H22" s="9">
        <f>10573.2/12*4</f>
        <v>3524.4</v>
      </c>
      <c r="I22" s="11">
        <f>(1214.4+748+1276+880+352+110011+210)/12*4</f>
        <v>38230.466666666667</v>
      </c>
      <c r="J22" s="11">
        <f>(550+1443.5+6628.6+48.4)/12*4</f>
        <v>2890.1666666666665</v>
      </c>
      <c r="K22" s="11">
        <f t="shared" si="0"/>
        <v>15917</v>
      </c>
      <c r="L22" s="11">
        <f t="shared" si="1"/>
        <v>-7408.4066666666622</v>
      </c>
      <c r="M22" s="11">
        <f t="shared" si="2"/>
        <v>-17999.776666666665</v>
      </c>
    </row>
    <row r="23" spans="1:13">
      <c r="A23" s="1" t="s">
        <v>10</v>
      </c>
      <c r="B23" s="4">
        <v>61</v>
      </c>
      <c r="C23" s="4">
        <v>34</v>
      </c>
      <c r="D23" s="4">
        <v>0</v>
      </c>
      <c r="E23" s="13">
        <f>289540.05/12*4</f>
        <v>96513.349999999991</v>
      </c>
      <c r="F23" s="15">
        <f>264487.4/12*4</f>
        <v>88162.466666666674</v>
      </c>
      <c r="G23" s="4">
        <v>19128.8</v>
      </c>
      <c r="H23" s="9">
        <f>16340.4/12*4</f>
        <v>5446.8</v>
      </c>
      <c r="I23" s="11">
        <f>(170017+2012.8)/12*4</f>
        <v>57343.266666666663</v>
      </c>
      <c r="J23" s="11">
        <f>(850+3116.5+10244.2+1089+74.8)/12*4</f>
        <v>5124.833333333333</v>
      </c>
      <c r="K23" s="11">
        <f t="shared" si="0"/>
        <v>24599</v>
      </c>
      <c r="L23" s="11">
        <f t="shared" si="1"/>
        <v>3999.4499999999971</v>
      </c>
      <c r="M23" s="11">
        <f t="shared" si="2"/>
        <v>-4351.4333333333198</v>
      </c>
    </row>
    <row r="24" spans="1:13" ht="14.25" customHeight="1">
      <c r="A24" s="1" t="s">
        <v>13</v>
      </c>
      <c r="B24" s="4">
        <v>40</v>
      </c>
      <c r="C24" s="4">
        <v>66</v>
      </c>
      <c r="D24" s="4">
        <v>0</v>
      </c>
      <c r="E24" s="13">
        <f>507410.2/12*4</f>
        <v>169136.73333333334</v>
      </c>
      <c r="F24" s="13">
        <f>492843.07/12*4</f>
        <v>164281.02333333335</v>
      </c>
      <c r="G24" s="5">
        <v>27262.02</v>
      </c>
      <c r="H24" s="9">
        <f>31719.6/12*4</f>
        <v>10573.199999999999</v>
      </c>
      <c r="I24" s="11">
        <f>(61734.6+329901+356.4)/12*4</f>
        <v>130664</v>
      </c>
      <c r="J24" s="11">
        <f>(2304.34+10466+7367.34+20897+7183+10136+2756.4+528+4903.8+145.2+7636.2+27466.3+4530+158.4+145.2)/12*4</f>
        <v>35541.06</v>
      </c>
      <c r="K24" s="11">
        <f t="shared" si="0"/>
        <v>47751</v>
      </c>
      <c r="L24" s="11">
        <f t="shared" si="1"/>
        <v>-55392.526666666672</v>
      </c>
      <c r="M24" s="11">
        <f t="shared" si="2"/>
        <v>-60248.236666666664</v>
      </c>
    </row>
    <row r="25" spans="1:13" ht="15" customHeight="1">
      <c r="A25" s="1" t="s">
        <v>13</v>
      </c>
      <c r="B25" s="4" t="s">
        <v>2</v>
      </c>
      <c r="C25" s="4">
        <v>59</v>
      </c>
      <c r="D25" s="4">
        <v>0</v>
      </c>
      <c r="E25" s="13">
        <f>508782.48/12*4</f>
        <v>169594.16</v>
      </c>
      <c r="F25" s="13">
        <f>476056.4/12*4</f>
        <v>158685.46666666667</v>
      </c>
      <c r="G25" s="5">
        <v>32084.68</v>
      </c>
      <c r="H25" s="9">
        <f>28355.4/12*4</f>
        <v>9451.8000000000011</v>
      </c>
      <c r="I25" s="11">
        <f>(885+294911.5)/12*4</f>
        <v>98598.833333333328</v>
      </c>
      <c r="J25" s="11">
        <f>(2560+1901+377.6+129.8+6826.3+9005.7+123.2)/12*4</f>
        <v>6974.5333333333338</v>
      </c>
      <c r="K25" s="11">
        <f t="shared" si="0"/>
        <v>42686.5</v>
      </c>
      <c r="L25" s="11">
        <f t="shared" si="1"/>
        <v>11882.493333333317</v>
      </c>
      <c r="M25" s="11">
        <f t="shared" si="2"/>
        <v>973.79999999998836</v>
      </c>
    </row>
    <row r="26" spans="1:13">
      <c r="A26" s="1" t="s">
        <v>9</v>
      </c>
      <c r="B26" s="4">
        <v>306</v>
      </c>
      <c r="C26" s="4">
        <v>129</v>
      </c>
      <c r="D26" s="4">
        <v>0</v>
      </c>
      <c r="E26" s="13">
        <f>972078.49/12*4</f>
        <v>324026.16333333333</v>
      </c>
      <c r="F26" s="13">
        <f>967475.53/12*4</f>
        <v>322491.84333333332</v>
      </c>
      <c r="G26" s="5">
        <v>38720.83</v>
      </c>
      <c r="H26" s="9">
        <f>61997.4/12*4</f>
        <v>20665.8</v>
      </c>
      <c r="I26" s="11">
        <f>(1935+6000+8668.8+28610+644806.5+696.6)/12*4</f>
        <v>230238.96666666667</v>
      </c>
      <c r="J26" s="11">
        <f>(3634+31.6+3451.5+412.8+3225+4011.9+283.8+6826.3+14925.3+283.8)/12*4</f>
        <v>12362</v>
      </c>
      <c r="K26" s="11">
        <f>C26*523.5</f>
        <v>67531.5</v>
      </c>
      <c r="L26" s="11">
        <f t="shared" si="1"/>
        <v>-6772.1033333333326</v>
      </c>
      <c r="M26" s="11">
        <f t="shared" si="2"/>
        <v>-8306.4233333333395</v>
      </c>
    </row>
    <row r="27" spans="1:13">
      <c r="A27" s="1" t="s">
        <v>9</v>
      </c>
      <c r="B27" s="4">
        <v>370</v>
      </c>
      <c r="C27" s="4">
        <v>139</v>
      </c>
      <c r="D27" s="4">
        <v>0</v>
      </c>
      <c r="E27" s="13">
        <f>1274756.32/12*4</f>
        <v>424918.77333333337</v>
      </c>
      <c r="F27" s="13">
        <f>1189826.85/12*4</f>
        <v>396608.95</v>
      </c>
      <c r="G27" s="5">
        <v>93546.64</v>
      </c>
      <c r="H27" s="9">
        <f>66803.4/12*4</f>
        <v>22267.8</v>
      </c>
      <c r="I27" s="11">
        <f>(2085+9340.8+15390+694791.5+750.6)/12*4</f>
        <v>240785.96666666667</v>
      </c>
      <c r="J27" s="11">
        <f>(5558+4091+13112.3+444.8+4322.9+6421.8+10327.7+8368.5+305.8+16082.3+333.6+305.8)/12*4</f>
        <v>23224.833333333339</v>
      </c>
      <c r="K27" s="11">
        <f>C27*723.5</f>
        <v>100566.5</v>
      </c>
      <c r="L27" s="11">
        <f t="shared" si="1"/>
        <v>38073.673333333398</v>
      </c>
      <c r="M27" s="11">
        <f t="shared" si="2"/>
        <v>9763.8500000000349</v>
      </c>
    </row>
    <row r="28" spans="1:13">
      <c r="A28" s="1" t="s">
        <v>14</v>
      </c>
      <c r="B28" s="4">
        <v>18</v>
      </c>
      <c r="C28" s="4">
        <v>86</v>
      </c>
      <c r="D28" s="4">
        <v>0</v>
      </c>
      <c r="E28" s="13">
        <f>733885.88/12*4</f>
        <v>244628.62666666668</v>
      </c>
      <c r="F28" s="13">
        <f>710869.33/12*4</f>
        <v>236956.44333333333</v>
      </c>
      <c r="G28" s="5"/>
      <c r="H28" s="9">
        <f>41331.6/12*4</f>
        <v>13777.199999999999</v>
      </c>
      <c r="I28" s="11">
        <f>(1290+4214+429871)/12*4</f>
        <v>145125</v>
      </c>
      <c r="J28" s="11">
        <f>(7806.46+688+5762+189.2+189.2)/12*4</f>
        <v>4878.2866666666669</v>
      </c>
      <c r="K28" s="11">
        <f t="shared" si="0"/>
        <v>62221</v>
      </c>
      <c r="L28" s="11">
        <f t="shared" si="1"/>
        <v>18627.139999999985</v>
      </c>
      <c r="M28" s="11">
        <f t="shared" si="2"/>
        <v>10954.956666666636</v>
      </c>
    </row>
    <row r="29" spans="1:13" ht="13.5" customHeight="1">
      <c r="A29" s="1" t="s">
        <v>14</v>
      </c>
      <c r="B29" s="5" t="s">
        <v>15</v>
      </c>
      <c r="C29" s="5">
        <v>219</v>
      </c>
      <c r="D29" s="4">
        <v>0</v>
      </c>
      <c r="E29" s="14">
        <f>2829624.8/12*4</f>
        <v>943208.2666666666</v>
      </c>
      <c r="F29" s="13">
        <f>2743193.65/12*4</f>
        <v>914397.8833333333</v>
      </c>
      <c r="G29" s="5">
        <v>433608.1</v>
      </c>
      <c r="H29" s="9">
        <f>105251.4/12*4</f>
        <v>35083.799999999996</v>
      </c>
      <c r="I29" s="11">
        <f>(10731+11432.5+465739+11800+9768.36+1094671.5+1182.6)/12*4</f>
        <v>535108.31999999995</v>
      </c>
      <c r="J29" s="11">
        <f>(3350+1802+6707+3494+13332.1+2452.8+1401.6+5475+16271.1+481.8+25338.3+19550+481.8)/12*4</f>
        <v>33379.166666666664</v>
      </c>
      <c r="K29" s="11">
        <f t="shared" si="0"/>
        <v>158446.5</v>
      </c>
      <c r="L29" s="11">
        <f t="shared" si="1"/>
        <v>181190.47999999998</v>
      </c>
      <c r="M29" s="11">
        <f t="shared" si="2"/>
        <v>152380.09666666668</v>
      </c>
    </row>
    <row r="30" spans="1:13">
      <c r="B30" s="3"/>
    </row>
    <row r="31" spans="1:13">
      <c r="B31" s="3"/>
    </row>
    <row r="32" spans="1:13">
      <c r="B32" s="3"/>
    </row>
    <row r="33" spans="2:2">
      <c r="B33" s="3"/>
    </row>
    <row r="34" spans="2:2">
      <c r="B34" s="3"/>
    </row>
    <row r="35" spans="2:2">
      <c r="B35" s="3"/>
    </row>
    <row r="36" spans="2:2">
      <c r="B36" s="3"/>
    </row>
    <row r="37" spans="2:2">
      <c r="B37" s="3"/>
    </row>
    <row r="38" spans="2:2">
      <c r="B38" s="3"/>
    </row>
    <row r="39" spans="2:2">
      <c r="B39" s="3"/>
    </row>
    <row r="40" spans="2:2">
      <c r="B40" s="3"/>
    </row>
    <row r="41" spans="2:2">
      <c r="B41" s="3"/>
    </row>
    <row r="42" spans="2:2">
      <c r="B42" s="3"/>
    </row>
    <row r="43" spans="2:2">
      <c r="B43" s="3"/>
    </row>
    <row r="44" spans="2:2">
      <c r="B44" s="3"/>
    </row>
    <row r="45" spans="2:2">
      <c r="B45" s="3"/>
    </row>
    <row r="46" spans="2:2">
      <c r="B46" s="3"/>
    </row>
    <row r="47" spans="2:2">
      <c r="B47" s="3"/>
    </row>
    <row r="48" spans="2:2">
      <c r="B48" s="3"/>
    </row>
    <row r="49" spans="2:2">
      <c r="B49" s="3"/>
    </row>
    <row r="50" spans="2:2">
      <c r="B50" s="3"/>
    </row>
    <row r="51" spans="2:2">
      <c r="B51" s="3"/>
    </row>
    <row r="52" spans="2:2">
      <c r="B52" s="3"/>
    </row>
    <row r="53" spans="2:2">
      <c r="B53" s="3"/>
    </row>
    <row r="54" spans="2:2">
      <c r="B54" s="3"/>
    </row>
    <row r="55" spans="2:2">
      <c r="B55" s="3"/>
    </row>
    <row r="56" spans="2:2">
      <c r="B56" s="3"/>
    </row>
    <row r="57" spans="2:2">
      <c r="B57" s="3"/>
    </row>
    <row r="58" spans="2:2">
      <c r="B58" s="3"/>
    </row>
    <row r="59" spans="2:2">
      <c r="B59" s="3"/>
    </row>
    <row r="60" spans="2:2">
      <c r="B60" s="3"/>
    </row>
    <row r="61" spans="2:2">
      <c r="B61" s="3"/>
    </row>
    <row r="62" spans="2:2">
      <c r="B62" s="3"/>
    </row>
    <row r="63" spans="2:2">
      <c r="B63" s="3"/>
    </row>
    <row r="64" spans="2:2">
      <c r="B64" s="3"/>
    </row>
    <row r="65" spans="2:2">
      <c r="B65" s="3"/>
    </row>
  </sheetData>
  <sheetProtection password="CC3B" sheet="1" objects="1" scenarios="1" selectLockedCells="1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Итоговый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2018-03-12T19:30:30Z</dcterms:modified>
</cp:coreProperties>
</file>